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9020" windowHeight="7245"/>
  </bookViews>
  <sheets>
    <sheet name="Custos - Empresa" sheetId="6" r:id="rId1"/>
    <sheet name="Auxiliar INSS + IR" sheetId="7" r:id="rId2"/>
  </sheets>
  <calcPr calcId="145621"/>
</workbook>
</file>

<file path=xl/calcChain.xml><?xml version="1.0" encoding="utf-8"?>
<calcChain xmlns="http://schemas.openxmlformats.org/spreadsheetml/2006/main">
  <c r="E13" i="6" l="1"/>
  <c r="C13" i="6"/>
  <c r="G4" i="7"/>
  <c r="D17" i="7" s="1"/>
  <c r="A19" i="7"/>
  <c r="A18" i="7"/>
  <c r="E4" i="6"/>
  <c r="D18" i="7" l="1"/>
  <c r="D7" i="7"/>
  <c r="D19" i="7"/>
  <c r="D5" i="7"/>
  <c r="D6" i="7"/>
  <c r="D4" i="7"/>
  <c r="D20" i="7" l="1"/>
  <c r="G5" i="7" s="1"/>
  <c r="D8" i="7"/>
  <c r="C6" i="6" l="1"/>
  <c r="E6" i="6" s="1"/>
  <c r="C27" i="6"/>
  <c r="E27" i="6"/>
  <c r="H13" i="6" l="1"/>
  <c r="E17" i="6"/>
  <c r="C17" i="6" l="1"/>
  <c r="H11" i="6"/>
  <c r="E19" i="6" s="1"/>
  <c r="C18" i="6" l="1"/>
  <c r="E29" i="6"/>
  <c r="E18" i="6"/>
  <c r="C29" i="6"/>
  <c r="C11" i="6"/>
  <c r="E11" i="6"/>
  <c r="C33" i="6"/>
  <c r="C28" i="6"/>
  <c r="E31" i="6"/>
  <c r="E16" i="6"/>
  <c r="C10" i="6"/>
  <c r="E30" i="6"/>
  <c r="C16" i="6"/>
  <c r="C32" i="6"/>
  <c r="C31" i="6"/>
  <c r="E33" i="6"/>
  <c r="E10" i="6"/>
  <c r="E32" i="6"/>
  <c r="E28" i="6"/>
  <c r="C30" i="6"/>
  <c r="E9" i="6"/>
  <c r="C19" i="6"/>
  <c r="C9" i="6"/>
  <c r="C40" i="6" l="1"/>
  <c r="E40" i="6"/>
  <c r="E41" i="6"/>
  <c r="C41" i="6"/>
  <c r="C47" i="6" l="1"/>
  <c r="C50" i="6" s="1"/>
  <c r="E47" i="6" l="1"/>
  <c r="E50" i="6" l="1"/>
</calcChain>
</file>

<file path=xl/sharedStrings.xml><?xml version="1.0" encoding="utf-8"?>
<sst xmlns="http://schemas.openxmlformats.org/spreadsheetml/2006/main" count="59" uniqueCount="55">
  <si>
    <t>FGTS</t>
  </si>
  <si>
    <t>IRPF</t>
  </si>
  <si>
    <t>Salário mensal bruto</t>
  </si>
  <si>
    <t>13o. salário</t>
  </si>
  <si>
    <t>Adicional de férias</t>
  </si>
  <si>
    <t>Salário líquido</t>
  </si>
  <si>
    <t>INSS Trabalhador</t>
  </si>
  <si>
    <t>INSS Empregador</t>
  </si>
  <si>
    <t>Salario educação</t>
  </si>
  <si>
    <t>Total</t>
  </si>
  <si>
    <t>Multa FGTS</t>
  </si>
  <si>
    <t>FAP (2%)</t>
  </si>
  <si>
    <t>INCRA (0,2%)</t>
  </si>
  <si>
    <t>Sistema S (3,1%)</t>
  </si>
  <si>
    <t>Juros reais anuais</t>
  </si>
  <si>
    <t>Custo do tempo não trabalhado</t>
  </si>
  <si>
    <t>Aviso prévio indenizado</t>
  </si>
  <si>
    <t>12 meses</t>
  </si>
  <si>
    <t>60 meses</t>
  </si>
  <si>
    <t>PLR</t>
  </si>
  <si>
    <t>Auxílio creche</t>
  </si>
  <si>
    <t>Cesta básica</t>
  </si>
  <si>
    <t>I. Salário base</t>
  </si>
  <si>
    <t>II. Recebimento</t>
  </si>
  <si>
    <t>III. Compensação do empregado</t>
  </si>
  <si>
    <t>IV. Demais custos</t>
  </si>
  <si>
    <t>Impostos/Obrigações trabalhistas</t>
  </si>
  <si>
    <t>Custos gerenciais</t>
  </si>
  <si>
    <t>Treinamentos</t>
  </si>
  <si>
    <t>Quota de deficientes</t>
  </si>
  <si>
    <t>Quota de aprendizes</t>
  </si>
  <si>
    <t>Administração de pessoal</t>
  </si>
  <si>
    <t>Festas e eventos motivacionais</t>
  </si>
  <si>
    <t>Ginástica laboral</t>
  </si>
  <si>
    <t>Treinamentos diversos</t>
  </si>
  <si>
    <t>Treinamento das reposições</t>
  </si>
  <si>
    <t>Obrigações de segurança</t>
  </si>
  <si>
    <t>Licença maternidade</t>
  </si>
  <si>
    <t>Férias Indenizadas/Direito a férias</t>
  </si>
  <si>
    <t>Juros reais mensais</t>
  </si>
  <si>
    <t>Duração do vínculo -&gt;</t>
  </si>
  <si>
    <t>Remuneração FGTS</t>
  </si>
  <si>
    <t>Remuneração FGTS mensal</t>
  </si>
  <si>
    <t xml:space="preserve">Benefícios/Negociação Coletiva </t>
  </si>
  <si>
    <t>Vale transporte</t>
  </si>
  <si>
    <t>Vale alimentação</t>
  </si>
  <si>
    <t>Obrigações acessórias</t>
  </si>
  <si>
    <t>Manutenção do refeitório</t>
  </si>
  <si>
    <t>Alíquota %</t>
  </si>
  <si>
    <t>Salário bruto</t>
  </si>
  <si>
    <t>IR devido</t>
  </si>
  <si>
    <t>Base de cálculo</t>
  </si>
  <si>
    <t>IMPOSTO DE RENDA</t>
  </si>
  <si>
    <t>INSS</t>
  </si>
  <si>
    <t>Base de cáculo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</si>
</sst>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 &quot;#,##0.00_);[Red]\(&quot;R$ &quot;#,##0.00\)"/>
    <numFmt numFmtId="165" formatCode="_(* #,##0.00_);_(* \(#,##0.00\);_(* &quot;-&quot;??_);_(@_)"/>
    <numFmt numFmtId="166" formatCode="0.0%"/>
    <numFmt numFmtId="167" formatCode="&quot;R$ 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Font="1"/>
    <xf numFmtId="165" fontId="0" fillId="0" borderId="1" xfId="1" applyFont="1" applyBorder="1"/>
    <xf numFmtId="0" fontId="0" fillId="0" borderId="1" xfId="0" applyFont="1" applyBorder="1" applyAlignment="1">
      <alignment horizontal="left" indent="1"/>
    </xf>
    <xf numFmtId="165" fontId="2" fillId="0" borderId="0" xfId="0" applyNumberFormat="1" applyFont="1"/>
    <xf numFmtId="9" fontId="2" fillId="0" borderId="0" xfId="2" applyFont="1"/>
    <xf numFmtId="9" fontId="2" fillId="0" borderId="0" xfId="2" applyFont="1" applyFill="1"/>
    <xf numFmtId="165" fontId="0" fillId="0" borderId="0" xfId="1" applyFont="1" applyFill="1"/>
    <xf numFmtId="165" fontId="0" fillId="0" borderId="0" xfId="0" applyNumberFormat="1" applyFill="1"/>
    <xf numFmtId="0" fontId="0" fillId="0" borderId="0" xfId="0" applyFill="1"/>
    <xf numFmtId="166" fontId="0" fillId="0" borderId="0" xfId="2" applyNumberFormat="1" applyFont="1"/>
    <xf numFmtId="165" fontId="0" fillId="0" borderId="0" xfId="1" applyFont="1" applyBorder="1"/>
    <xf numFmtId="10" fontId="4" fillId="0" borderId="0" xfId="0" applyNumberFormat="1" applyFont="1"/>
    <xf numFmtId="0" fontId="4" fillId="0" borderId="0" xfId="0" applyFont="1"/>
    <xf numFmtId="0" fontId="0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 inden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167" fontId="5" fillId="0" borderId="1" xfId="1" applyNumberFormat="1" applyFont="1" applyBorder="1" applyAlignment="1">
      <alignment horizontal="center"/>
    </xf>
    <xf numFmtId="166" fontId="0" fillId="0" borderId="0" xfId="2" applyNumberFormat="1" applyFont="1" applyFill="1"/>
    <xf numFmtId="9" fontId="0" fillId="0" borderId="0" xfId="2" applyFont="1" applyFill="1"/>
    <xf numFmtId="0" fontId="8" fillId="0" borderId="0" xfId="0" applyFont="1"/>
    <xf numFmtId="0" fontId="8" fillId="0" borderId="2" xfId="0" applyFont="1" applyBorder="1"/>
    <xf numFmtId="0" fontId="7" fillId="0" borderId="5" xfId="0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2" fontId="8" fillId="0" borderId="2" xfId="0" applyNumberFormat="1" applyFont="1" applyBorder="1"/>
    <xf numFmtId="2" fontId="7" fillId="2" borderId="2" xfId="0" applyNumberFormat="1" applyFont="1" applyFill="1" applyBorder="1"/>
    <xf numFmtId="2" fontId="8" fillId="0" borderId="3" xfId="0" applyNumberFormat="1" applyFont="1" applyBorder="1" applyAlignment="1">
      <alignment vertical="top" wrapText="1"/>
    </xf>
    <xf numFmtId="0" fontId="7" fillId="3" borderId="2" xfId="0" applyFont="1" applyFill="1" applyBorder="1"/>
    <xf numFmtId="0" fontId="6" fillId="4" borderId="0" xfId="0" applyFont="1" applyFill="1"/>
    <xf numFmtId="165" fontId="9" fillId="5" borderId="0" xfId="0" applyNumberFormat="1" applyFont="1" applyFill="1"/>
    <xf numFmtId="165" fontId="6" fillId="4" borderId="0" xfId="0" applyNumberFormat="1" applyFont="1" applyFill="1"/>
    <xf numFmtId="167" fontId="10" fillId="6" borderId="1" xfId="1" applyNumberFormat="1" applyFont="1" applyFill="1" applyBorder="1" applyAlignment="1">
      <alignment horizontal="center"/>
    </xf>
    <xf numFmtId="10" fontId="9" fillId="5" borderId="2" xfId="2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38100</xdr:rowOff>
    </xdr:from>
    <xdr:to>
      <xdr:col>7</xdr:col>
      <xdr:colOff>323850</xdr:colOff>
      <xdr:row>8</xdr:row>
      <xdr:rowOff>47625</xdr:rowOff>
    </xdr:to>
    <xdr:pic>
      <xdr:nvPicPr>
        <xdr:cNvPr id="2" name="Imagem 1" descr="cmicr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81575" y="38100"/>
          <a:ext cx="20002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"/>
  <sheetViews>
    <sheetView showGridLines="0" showRowColHeaders="0" tabSelected="1" zoomScaleNormal="100" workbookViewId="0"/>
  </sheetViews>
  <sheetFormatPr defaultRowHeight="15" x14ac:dyDescent="0.25"/>
  <cols>
    <col min="2" max="2" width="33.140625" style="6" bestFit="1" customWidth="1"/>
    <col min="3" max="3" width="10.7109375" bestFit="1" customWidth="1"/>
    <col min="4" max="4" width="14.140625" customWidth="1"/>
    <col min="5" max="5" width="10.7109375" bestFit="1" customWidth="1"/>
    <col min="6" max="6" width="7.85546875" customWidth="1"/>
    <col min="7" max="7" width="25.28515625" bestFit="1" customWidth="1"/>
    <col min="8" max="8" width="7" bestFit="1" customWidth="1"/>
    <col min="9" max="9" width="11.5703125" bestFit="1" customWidth="1"/>
    <col min="10" max="10" width="11.42578125" bestFit="1" customWidth="1"/>
  </cols>
  <sheetData>
    <row r="2" spans="2:10" x14ac:dyDescent="0.25">
      <c r="B2" s="35" t="s">
        <v>40</v>
      </c>
      <c r="C2" s="35" t="s">
        <v>17</v>
      </c>
      <c r="D2" s="35"/>
      <c r="E2" s="35" t="s">
        <v>18</v>
      </c>
    </row>
    <row r="3" spans="2:10" x14ac:dyDescent="0.25">
      <c r="C3" s="5"/>
      <c r="D3" s="5"/>
      <c r="E3" s="5"/>
      <c r="F3" s="5"/>
    </row>
    <row r="4" spans="2:10" x14ac:dyDescent="0.25">
      <c r="B4" s="8" t="s">
        <v>2</v>
      </c>
      <c r="C4" s="38">
        <v>730</v>
      </c>
      <c r="D4" s="7"/>
      <c r="E4" s="24">
        <f>C4</f>
        <v>730</v>
      </c>
      <c r="F4" s="16"/>
    </row>
    <row r="5" spans="2:10" x14ac:dyDescent="0.25">
      <c r="B5" s="5" t="s">
        <v>22</v>
      </c>
      <c r="C5" s="11"/>
      <c r="D5" s="10"/>
      <c r="E5" s="11"/>
      <c r="F5" s="10"/>
    </row>
    <row r="6" spans="2:10" x14ac:dyDescent="0.25">
      <c r="B6" s="19" t="s">
        <v>5</v>
      </c>
      <c r="C6" s="12">
        <f>'Auxiliar INSS + IR'!G5-'Auxiliar INSS + IR'!D8</f>
        <v>671.6</v>
      </c>
      <c r="D6" s="12"/>
      <c r="E6" s="12">
        <f>C6</f>
        <v>671.6</v>
      </c>
      <c r="F6" s="1"/>
    </row>
    <row r="7" spans="2:10" x14ac:dyDescent="0.25">
      <c r="B7" s="19"/>
      <c r="C7" s="12"/>
      <c r="D7" s="12"/>
      <c r="E7" s="12"/>
      <c r="F7" s="1"/>
    </row>
    <row r="8" spans="2:10" x14ac:dyDescent="0.25">
      <c r="B8" s="20" t="s">
        <v>23</v>
      </c>
      <c r="C8" s="11"/>
      <c r="D8" s="11"/>
      <c r="E8" s="11"/>
      <c r="F8" s="10"/>
    </row>
    <row r="9" spans="2:10" x14ac:dyDescent="0.25">
      <c r="B9" s="19" t="s">
        <v>3</v>
      </c>
      <c r="C9" s="12">
        <f>PMT($H$11,12,0,-((($E$6/2)*((1+$H$11)^1))+$E$6/2),0)</f>
        <v>54.616718089545948</v>
      </c>
      <c r="D9" s="12"/>
      <c r="E9" s="12">
        <f>PMT($H$11,12,0,-((($E$6/2)*((1+$H$11)^1))+$E$6/2),0)</f>
        <v>54.616718089545948</v>
      </c>
      <c r="F9" s="15"/>
    </row>
    <row r="10" spans="2:10" x14ac:dyDescent="0.25">
      <c r="B10" s="19" t="s">
        <v>4</v>
      </c>
      <c r="C10" s="12">
        <f>PMT($H$11,12,0,-$E$4/3,)+PMT($H$11,60,0,-$E$4/36,)</f>
        <v>20.032448007095986</v>
      </c>
      <c r="D10" s="12"/>
      <c r="E10" s="13">
        <f>PMT($H$11,12,0,-$E$4/3,)+PMT($H$11,60,0,-$E$4/36,)</f>
        <v>20.032448007095986</v>
      </c>
      <c r="F10" s="15"/>
      <c r="G10" s="5" t="s">
        <v>14</v>
      </c>
      <c r="H10" s="39">
        <v>0.06</v>
      </c>
    </row>
    <row r="11" spans="2:10" x14ac:dyDescent="0.25">
      <c r="B11" s="21" t="s">
        <v>38</v>
      </c>
      <c r="C11" s="13">
        <f>PMT($H$11,12,0,-$E$4*13/12)</f>
        <v>64.15702064597977</v>
      </c>
      <c r="D11" s="13"/>
      <c r="E11" s="13">
        <f>PMT($H$11,60,0,-$E$4*(13/12))</f>
        <v>11.381224524986324</v>
      </c>
      <c r="F11" s="15"/>
      <c r="G11" s="18" t="s">
        <v>39</v>
      </c>
      <c r="H11" s="17">
        <f>(1+$H$10)^(1/12)-1</f>
        <v>4.8675505653430484E-3</v>
      </c>
    </row>
    <row r="12" spans="2:10" x14ac:dyDescent="0.25">
      <c r="B12" s="21" t="s">
        <v>19</v>
      </c>
      <c r="C12" s="36">
        <v>0</v>
      </c>
      <c r="D12" s="12"/>
      <c r="E12" s="36">
        <v>0</v>
      </c>
      <c r="F12" s="1"/>
      <c r="G12" s="5" t="s">
        <v>41</v>
      </c>
      <c r="H12" s="39">
        <v>0.03</v>
      </c>
    </row>
    <row r="13" spans="2:10" x14ac:dyDescent="0.25">
      <c r="B13" s="19" t="s">
        <v>44</v>
      </c>
      <c r="C13" s="13">
        <f>MAX(0,6*22-0.06*$C$4)</f>
        <v>88.2</v>
      </c>
      <c r="D13" s="13"/>
      <c r="E13" s="13">
        <f>MAX(0,6*22-0.06*$C$4)</f>
        <v>88.2</v>
      </c>
      <c r="F13" s="15"/>
      <c r="G13" s="18" t="s">
        <v>42</v>
      </c>
      <c r="H13" s="17">
        <f>(1+$H$12)^(1/12)-1</f>
        <v>2.4662697723036864E-3</v>
      </c>
      <c r="J13" s="2"/>
    </row>
    <row r="14" spans="2:10" x14ac:dyDescent="0.25">
      <c r="B14" s="21"/>
      <c r="C14" s="13"/>
      <c r="D14" s="13"/>
      <c r="E14" s="13"/>
      <c r="F14" s="15"/>
      <c r="J14" s="2"/>
    </row>
    <row r="15" spans="2:10" x14ac:dyDescent="0.25">
      <c r="B15" s="20" t="s">
        <v>24</v>
      </c>
      <c r="C15" s="11"/>
      <c r="D15" s="11"/>
      <c r="E15" s="11"/>
      <c r="F15" s="2"/>
      <c r="I15" s="3"/>
      <c r="J15" s="2"/>
    </row>
    <row r="16" spans="2:10" x14ac:dyDescent="0.25">
      <c r="B16" s="19" t="s">
        <v>0</v>
      </c>
      <c r="C16" s="13">
        <f>0.08*$E$4+PMT($H$11,12,0,-0.08*$E$4)+PMT($H$11,60,0,-0.08*$E$4*(1/12+1))</f>
        <v>64.048247178932797</v>
      </c>
      <c r="D16" s="13"/>
      <c r="E16" s="13">
        <f>0.08*$E$4+PMT($H$11,12,0,-0.08*$E$4)+PMT($H$11,60,0,-0.08*$E$4*(1/12+1))</f>
        <v>64.048247178932797</v>
      </c>
      <c r="F16" s="10"/>
      <c r="I16" s="3"/>
      <c r="J16" s="2"/>
    </row>
    <row r="17" spans="2:10" x14ac:dyDescent="0.25">
      <c r="B17" s="19" t="s">
        <v>6</v>
      </c>
      <c r="C17" s="13">
        <f>0.08*(C4*(13/12+1/36))</f>
        <v>64.888888888888886</v>
      </c>
      <c r="D17" s="13"/>
      <c r="E17" s="13">
        <f>0.08*(E4*(13/12+1/36))</f>
        <v>64.888888888888886</v>
      </c>
      <c r="F17" s="15"/>
    </row>
    <row r="18" spans="2:10" x14ac:dyDescent="0.25">
      <c r="B18" s="19" t="s">
        <v>10</v>
      </c>
      <c r="C18" s="13">
        <f>PMT($H$11,12,0,-0.4*(FV($H$13,12,-0.08*E4,0,0)+FV($H$12,1,-0.08*E4,0,0)+(0.08*1/12*E4)))</f>
        <v>25.105243538617749</v>
      </c>
      <c r="D18" s="13"/>
      <c r="E18" s="13">
        <f>PMT($H$11,60,0,-0.4*(FV($H$13,60,-0.08*E4,0,0)+FV($H$12,4,-0.08*E4,0,0)+(0.08*1/12*E4)))</f>
        <v>23.145560462078642</v>
      </c>
      <c r="F18" s="15"/>
    </row>
    <row r="19" spans="2:10" x14ac:dyDescent="0.25">
      <c r="B19" s="19" t="s">
        <v>16</v>
      </c>
      <c r="C19" s="13">
        <f>PMT($H$11,12,0,-$E$6)</f>
        <v>54.484115994739746</v>
      </c>
      <c r="D19" s="13"/>
      <c r="E19" s="13">
        <f>PMT($H$11,60,0,-$E$6*42/30)+PMT($H$11,60,0,-$E$6/12,0)</f>
        <v>14.336840986244312</v>
      </c>
      <c r="F19" s="15"/>
    </row>
    <row r="20" spans="2:10" x14ac:dyDescent="0.25">
      <c r="B20" s="22" t="s">
        <v>43</v>
      </c>
      <c r="C20" s="14"/>
      <c r="D20" s="14"/>
      <c r="E20" s="14"/>
      <c r="F20" s="15"/>
    </row>
    <row r="21" spans="2:10" x14ac:dyDescent="0.25">
      <c r="B21" s="21" t="s">
        <v>20</v>
      </c>
      <c r="C21" s="36">
        <v>12.37</v>
      </c>
      <c r="D21" s="13"/>
      <c r="E21" s="36">
        <v>12.37</v>
      </c>
      <c r="F21" s="25"/>
      <c r="G21" s="26"/>
      <c r="H21" s="14"/>
      <c r="I21" s="14"/>
      <c r="J21" s="14"/>
    </row>
    <row r="22" spans="2:10" x14ac:dyDescent="0.25">
      <c r="B22" s="21" t="s">
        <v>21</v>
      </c>
      <c r="C22" s="36">
        <v>43.8</v>
      </c>
      <c r="D22" s="13"/>
      <c r="E22" s="36">
        <v>43.8</v>
      </c>
      <c r="F22" s="15"/>
    </row>
    <row r="23" spans="2:10" x14ac:dyDescent="0.25">
      <c r="B23" s="19" t="s">
        <v>45</v>
      </c>
      <c r="C23" s="36">
        <v>106</v>
      </c>
      <c r="D23" s="13"/>
      <c r="E23" s="36">
        <v>106</v>
      </c>
      <c r="F23" s="15"/>
    </row>
    <row r="24" spans="2:10" x14ac:dyDescent="0.25">
      <c r="B24" s="19"/>
      <c r="C24" s="13"/>
      <c r="D24" s="13"/>
      <c r="E24" s="13"/>
      <c r="F24" s="2"/>
      <c r="G24" s="2"/>
    </row>
    <row r="25" spans="2:10" x14ac:dyDescent="0.25">
      <c r="B25" s="20" t="s">
        <v>25</v>
      </c>
      <c r="C25" s="11"/>
      <c r="D25" s="11"/>
      <c r="E25" s="11"/>
      <c r="F25" s="10"/>
      <c r="G25" s="2"/>
    </row>
    <row r="26" spans="2:10" x14ac:dyDescent="0.25">
      <c r="B26" s="22" t="s">
        <v>26</v>
      </c>
      <c r="C26" s="14"/>
      <c r="D26" s="14"/>
      <c r="E26" s="14"/>
    </row>
    <row r="27" spans="2:10" x14ac:dyDescent="0.25">
      <c r="B27" s="19" t="s">
        <v>1</v>
      </c>
      <c r="C27" s="13">
        <f>'Auxiliar INSS + IR'!$D$8</f>
        <v>0</v>
      </c>
      <c r="D27" s="13"/>
      <c r="E27" s="13">
        <f>'Auxiliar INSS + IR'!$D$8</f>
        <v>0</v>
      </c>
      <c r="F27" s="2"/>
    </row>
    <row r="28" spans="2:10" x14ac:dyDescent="0.25">
      <c r="B28" s="19" t="s">
        <v>7</v>
      </c>
      <c r="C28" s="13">
        <f>0.2*(E4+PMT($H$11,12,0,-((($E$4/2)*((1+$H$11)^1))+$E$4/2),0)+(PMT($H$11,12,0,-$E$4)))</f>
        <v>169.71757262701863</v>
      </c>
      <c r="D28" s="13"/>
      <c r="E28" s="13">
        <f>0.2*(E4+PMT($H$11,12,0,-((($E$4/2)*((1+$H$11)^1))+$E$4/2),0)+(PMT($H$11,60,0,-$E$4)+PMT($H$11,60,0,-$E$4/12,0)))</f>
        <v>160.14944448968117</v>
      </c>
      <c r="F28" s="15"/>
    </row>
    <row r="29" spans="2:10" x14ac:dyDescent="0.25">
      <c r="B29" s="19" t="s">
        <v>10</v>
      </c>
      <c r="C29" s="13">
        <f>PMT($H$11,12,0,-0.1*(FV($H$13,12,-0.08*E4,0,0)+FV($H$12,1,-0.08*E4,0,0)+(0.08*1/12*E4)))</f>
        <v>6.2763108846544373</v>
      </c>
      <c r="D29" s="13"/>
      <c r="E29" s="13">
        <f>PMT($H$11,60,0,-0.1*(FV($H$13,60,-0.08*E4,0,0)+FV($H$12,4,-0.08*E4,0,0)+(0.08*1/12*E4)))</f>
        <v>5.7863901155196604</v>
      </c>
      <c r="F29" s="15"/>
    </row>
    <row r="30" spans="2:10" x14ac:dyDescent="0.25">
      <c r="B30" s="19" t="s">
        <v>8</v>
      </c>
      <c r="C30" s="13">
        <f>0.025*(E4+PMT($H$11,12,0,-((($E$4/2)*((1+$H$11)^1))+$E$4/2),0)+(PMT($H$11,12,0,-$E$4)))</f>
        <v>21.214696578377328</v>
      </c>
      <c r="D30" s="13"/>
      <c r="E30" s="13">
        <f>0.025*(E4+PMT($H$11,12,0,-((($E$4/2)*((1+$H$11)^1))+$E$4/2),0)+(PMT($H$11,60,0,-$E$4)+PMT($H$11,60,0,-$E$4/12,0)))</f>
        <v>20.018680561210147</v>
      </c>
      <c r="F30" s="15"/>
    </row>
    <row r="31" spans="2:10" x14ac:dyDescent="0.25">
      <c r="B31" s="19" t="s">
        <v>11</v>
      </c>
      <c r="C31" s="13">
        <f>0.02*(E4+PMT($H$11,12,0,-((($E$4/2)*((1+$H$11)^1))+$E$4/2),0)+(PMT($H$11,12,0,-$E$4)))</f>
        <v>16.971757262701864</v>
      </c>
      <c r="D31" s="13"/>
      <c r="E31" s="13">
        <f>0.02*(E4+PMT($H$11,12,0,-((($E$4/2)*((1+$H$11)^1))+$E$4/2),0)+(PMT($H$11,60,0,-$E$4)+PMT($H$11,60,0,-$E$4/12,0)))</f>
        <v>16.014944448968116</v>
      </c>
      <c r="F31" s="15"/>
    </row>
    <row r="32" spans="2:10" x14ac:dyDescent="0.25">
      <c r="B32" s="19" t="s">
        <v>12</v>
      </c>
      <c r="C32" s="13">
        <f>0.002*(E4+PMT($H$11,12,0,-((($E$4/2)*((1+$H$11)^1))+$E$4/2),0)+(PMT($H$11,12,0,-$E$4)))</f>
        <v>1.6971757262701863</v>
      </c>
      <c r="D32" s="13"/>
      <c r="E32" s="13">
        <f>0.002*(E4+PMT($H$11,12,0,-((($E$4/2)*((1+$H$11)^1))+$E$4/2),0)+(PMT($H$11,60,0,-$E$4)+PMT($H$11,60,0,-$E$4/12,0)))</f>
        <v>1.6014944448968118</v>
      </c>
      <c r="F32" s="15"/>
    </row>
    <row r="33" spans="2:6" x14ac:dyDescent="0.25">
      <c r="B33" s="19" t="s">
        <v>13</v>
      </c>
      <c r="C33" s="13">
        <f>0.031*(E4+PMT($H$11,12,0,-((($E$4/2)*((1+$H$11)^1))+$E$4/2),0)+(PMT($H$11,12,0,-$E$4)))</f>
        <v>26.306223757187887</v>
      </c>
      <c r="D33" s="13"/>
      <c r="E33" s="13">
        <f>0.031*(E4+PMT($H$11,12,0,-((($E$4/2)*((1+$H$11)^1))+$E$4/2),0)+(PMT($H$11,60,0,-$E$4)+PMT($H$11,60,0,-$E$4/12,0)))</f>
        <v>24.823163895900581</v>
      </c>
      <c r="F33" s="2"/>
    </row>
    <row r="34" spans="2:6" x14ac:dyDescent="0.25">
      <c r="B34" s="23" t="s">
        <v>46</v>
      </c>
      <c r="C34" s="13"/>
      <c r="D34" s="13"/>
      <c r="E34" s="13"/>
      <c r="F34" s="15"/>
    </row>
    <row r="35" spans="2:6" x14ac:dyDescent="0.25">
      <c r="B35" s="21" t="s">
        <v>37</v>
      </c>
      <c r="C35" s="36">
        <v>17.03</v>
      </c>
      <c r="D35" s="13"/>
      <c r="E35" s="13">
        <v>17.03</v>
      </c>
      <c r="F35" s="15"/>
    </row>
    <row r="36" spans="2:6" x14ac:dyDescent="0.25">
      <c r="B36" s="21" t="s">
        <v>29</v>
      </c>
      <c r="C36" s="36">
        <v>14.855</v>
      </c>
      <c r="D36" s="13"/>
      <c r="E36" s="2">
        <v>14.855</v>
      </c>
      <c r="F36" s="15"/>
    </row>
    <row r="37" spans="2:6" x14ac:dyDescent="0.25">
      <c r="B37" s="21" t="s">
        <v>30</v>
      </c>
      <c r="C37" s="36">
        <v>32.024999999999999</v>
      </c>
      <c r="D37" s="13"/>
      <c r="E37" s="2">
        <v>32.024999999999999</v>
      </c>
      <c r="F37" s="15"/>
    </row>
    <row r="38" spans="2:6" x14ac:dyDescent="0.25">
      <c r="B38" s="21" t="s">
        <v>36</v>
      </c>
      <c r="C38" s="36">
        <v>24.7</v>
      </c>
      <c r="D38" s="13"/>
      <c r="E38" s="13">
        <v>24.7</v>
      </c>
      <c r="F38" s="2"/>
    </row>
    <row r="39" spans="2:6" x14ac:dyDescent="0.25">
      <c r="B39" s="23" t="s">
        <v>28</v>
      </c>
      <c r="C39" s="13"/>
      <c r="D39" s="13"/>
      <c r="E39" s="13"/>
      <c r="F39" s="15"/>
    </row>
    <row r="40" spans="2:6" x14ac:dyDescent="0.25">
      <c r="B40" s="21" t="s">
        <v>35</v>
      </c>
      <c r="C40" s="13">
        <f>0.25*0.25*(C6+SUM(C9:C14)+SUM(C16:C24)+SUM(C27:C38))</f>
        <v>100.0060261987507</v>
      </c>
      <c r="D40" s="13"/>
      <c r="E40" s="13">
        <f>0.25*3/60*(E6+SUM(E9:E14)+SUM(E16:E24)+SUM(E27:E38))</f>
        <v>18.64280057617437</v>
      </c>
      <c r="F40" s="15"/>
    </row>
    <row r="41" spans="2:6" x14ac:dyDescent="0.25">
      <c r="B41" s="19" t="s">
        <v>33</v>
      </c>
      <c r="C41" s="13">
        <f>(SUM(C6:C39)/(4*44))*4</f>
        <v>36.365827708636623</v>
      </c>
      <c r="D41" s="13"/>
      <c r="E41" s="13">
        <f>(SUM(E6:E39)/(4*44))*4</f>
        <v>33.89600104758977</v>
      </c>
      <c r="F41" s="15"/>
    </row>
    <row r="42" spans="2:6" x14ac:dyDescent="0.25">
      <c r="B42" s="21" t="s">
        <v>34</v>
      </c>
      <c r="C42" s="36">
        <v>5.42</v>
      </c>
      <c r="D42" s="13"/>
      <c r="E42" s="13">
        <v>5.42</v>
      </c>
      <c r="F42" s="2"/>
    </row>
    <row r="43" spans="2:6" x14ac:dyDescent="0.25">
      <c r="B43" s="23" t="s">
        <v>27</v>
      </c>
      <c r="C43" s="13"/>
      <c r="D43" s="13"/>
      <c r="E43" s="13"/>
      <c r="F43" s="15"/>
    </row>
    <row r="44" spans="2:6" x14ac:dyDescent="0.25">
      <c r="B44" s="21" t="s">
        <v>31</v>
      </c>
      <c r="C44" s="36">
        <v>153.61000000000001</v>
      </c>
      <c r="D44" s="13"/>
      <c r="E44" s="13">
        <v>153.61000000000001</v>
      </c>
      <c r="F44" s="15"/>
    </row>
    <row r="45" spans="2:6" x14ac:dyDescent="0.25">
      <c r="B45" s="21" t="s">
        <v>47</v>
      </c>
      <c r="C45" s="36">
        <v>2.34</v>
      </c>
      <c r="D45" s="13"/>
      <c r="E45" s="13">
        <v>2.34</v>
      </c>
      <c r="F45" s="15"/>
    </row>
    <row r="46" spans="2:6" x14ac:dyDescent="0.25">
      <c r="B46" s="21" t="s">
        <v>32</v>
      </c>
      <c r="C46" s="36">
        <v>10.57</v>
      </c>
      <c r="D46" s="13"/>
      <c r="E46" s="13">
        <v>10.57</v>
      </c>
      <c r="F46" s="2"/>
    </row>
    <row r="47" spans="2:6" x14ac:dyDescent="0.25">
      <c r="B47" s="19" t="s">
        <v>15</v>
      </c>
      <c r="C47" s="13">
        <f>1/12*(C6+SUM(C9:C14)+SUM(C16:C24)+SUM(C27:C46))</f>
        <v>159.0340227572832</v>
      </c>
      <c r="D47" s="13"/>
      <c r="E47" s="13">
        <f>1/12*(E6+SUM(E9:E14)+SUM(E16:E24)+SUM(E27:E46))</f>
        <v>142.99190397647612</v>
      </c>
    </row>
    <row r="48" spans="2:6" x14ac:dyDescent="0.25">
      <c r="B48"/>
      <c r="D48" s="2"/>
      <c r="F48" s="9"/>
    </row>
    <row r="49" spans="2:6" x14ac:dyDescent="0.25">
      <c r="C49" s="2"/>
      <c r="E49" s="2"/>
      <c r="F49" s="2"/>
    </row>
    <row r="50" spans="2:6" x14ac:dyDescent="0.25">
      <c r="B50" s="35" t="s">
        <v>9</v>
      </c>
      <c r="C50" s="37">
        <f>C6+SUM(C9:C14)+SUM(C16:C24)+SUM(C26:C48)</f>
        <v>2067.4422958446817</v>
      </c>
      <c r="D50" s="37"/>
      <c r="E50" s="37">
        <f>E6+SUM(E9:E14)+SUM(E16:E24)+SUM(E26:E48)</f>
        <v>1858.8947516941898</v>
      </c>
    </row>
    <row r="51" spans="2:6" x14ac:dyDescent="0.25">
      <c r="C51" s="4"/>
      <c r="D51" s="2"/>
      <c r="E51" s="4"/>
      <c r="F51" s="2"/>
    </row>
    <row r="52" spans="2:6" x14ac:dyDescent="0.25">
      <c r="F52" s="4"/>
    </row>
    <row r="53" spans="2:6" x14ac:dyDescent="0.25">
      <c r="D53" s="2"/>
    </row>
    <row r="54" spans="2:6" x14ac:dyDescent="0.25">
      <c r="D54" s="4"/>
    </row>
  </sheetData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workbookViewId="0">
      <selection activeCell="C23" sqref="C23"/>
    </sheetView>
  </sheetViews>
  <sheetFormatPr defaultRowHeight="12.75" x14ac:dyDescent="0.2"/>
  <cols>
    <col min="1" max="2" width="7.42578125" style="27" bestFit="1" customWidth="1"/>
    <col min="3" max="3" width="9.28515625" style="27" bestFit="1" customWidth="1"/>
    <col min="4" max="4" width="8.28515625" style="27" bestFit="1" customWidth="1"/>
    <col min="5" max="5" width="9.140625" style="27"/>
    <col min="6" max="6" width="14.140625" style="27" bestFit="1" customWidth="1"/>
    <col min="7" max="7" width="14" style="27" customWidth="1"/>
    <col min="8" max="16384" width="9.140625" style="27"/>
  </cols>
  <sheetData>
    <row r="1" spans="1:7" x14ac:dyDescent="0.2">
      <c r="A1" s="42" t="s">
        <v>52</v>
      </c>
      <c r="B1" s="42"/>
      <c r="C1" s="42"/>
      <c r="D1" s="42"/>
    </row>
    <row r="2" spans="1:7" x14ac:dyDescent="0.2">
      <c r="A2" s="40" t="s">
        <v>51</v>
      </c>
      <c r="B2" s="41"/>
      <c r="C2" s="29" t="s">
        <v>48</v>
      </c>
      <c r="D2" s="28" t="s">
        <v>50</v>
      </c>
    </row>
    <row r="3" spans="1:7" x14ac:dyDescent="0.2">
      <c r="A3" s="33">
        <v>0</v>
      </c>
      <c r="B3" s="33">
        <v>1637.11</v>
      </c>
      <c r="C3" s="30">
        <v>0</v>
      </c>
      <c r="D3" s="31">
        <v>0</v>
      </c>
    </row>
    <row r="4" spans="1:7" x14ac:dyDescent="0.2">
      <c r="A4" s="33">
        <v>1637.12</v>
      </c>
      <c r="B4" s="33">
        <v>2453.5</v>
      </c>
      <c r="C4" s="30">
        <v>7.4999999999999997E-2</v>
      </c>
      <c r="D4" s="31">
        <f>MIN(B4-A4,MAX(0,$G$4-A4))*C4</f>
        <v>0</v>
      </c>
      <c r="F4" s="34" t="s">
        <v>49</v>
      </c>
      <c r="G4" s="31">
        <f>'Custos - Empresa'!C4</f>
        <v>730</v>
      </c>
    </row>
    <row r="5" spans="1:7" x14ac:dyDescent="0.2">
      <c r="A5" s="33">
        <v>2453.5100000000002</v>
      </c>
      <c r="B5" s="33">
        <v>3271.38</v>
      </c>
      <c r="C5" s="30">
        <v>0.15</v>
      </c>
      <c r="D5" s="31">
        <f>MIN(B5-A5,MAX(0,$G$4-A5))*C5</f>
        <v>0</v>
      </c>
      <c r="F5" s="34" t="s">
        <v>54</v>
      </c>
      <c r="G5" s="31">
        <f>MAX(0,G4-D20)</f>
        <v>671.6</v>
      </c>
    </row>
    <row r="6" spans="1:7" x14ac:dyDescent="0.2">
      <c r="A6" s="33">
        <v>3271.39</v>
      </c>
      <c r="B6" s="33">
        <v>4087.65</v>
      </c>
      <c r="C6" s="30">
        <v>0.22500000000000001</v>
      </c>
      <c r="D6" s="31">
        <f>MIN(B6-A6,MAX(0,$G$4-A6))*C6</f>
        <v>0</v>
      </c>
    </row>
    <row r="7" spans="1:7" x14ac:dyDescent="0.2">
      <c r="A7" s="33">
        <v>4087.65</v>
      </c>
      <c r="B7" s="33"/>
      <c r="C7" s="30">
        <v>0.27</v>
      </c>
      <c r="D7" s="31">
        <f>MAX(0,$G$4-A7)*C7</f>
        <v>0</v>
      </c>
    </row>
    <row r="8" spans="1:7" x14ac:dyDescent="0.2">
      <c r="D8" s="32">
        <f>SUM(D3:D7)</f>
        <v>0</v>
      </c>
    </row>
    <row r="15" spans="1:7" x14ac:dyDescent="0.2">
      <c r="A15" s="42" t="s">
        <v>53</v>
      </c>
      <c r="B15" s="42"/>
      <c r="C15" s="42"/>
      <c r="D15" s="42"/>
    </row>
    <row r="16" spans="1:7" x14ac:dyDescent="0.2">
      <c r="A16" s="40" t="s">
        <v>51</v>
      </c>
      <c r="B16" s="41"/>
      <c r="C16" s="29" t="s">
        <v>48</v>
      </c>
      <c r="D16" s="28" t="s">
        <v>50</v>
      </c>
    </row>
    <row r="17" spans="1:4" x14ac:dyDescent="0.2">
      <c r="A17" s="33">
        <v>0</v>
      </c>
      <c r="B17" s="33">
        <v>1174.8599999999999</v>
      </c>
      <c r="C17" s="30">
        <v>0.08</v>
      </c>
      <c r="D17" s="31">
        <f>IF(AND($G$4&gt;=A17,$G$4&lt;=B17),$G$4*C17,0)</f>
        <v>58.4</v>
      </c>
    </row>
    <row r="18" spans="1:4" x14ac:dyDescent="0.2">
      <c r="A18" s="33">
        <f>B17+0.01</f>
        <v>1174.8699999999999</v>
      </c>
      <c r="B18" s="33">
        <v>1958.1</v>
      </c>
      <c r="C18" s="30">
        <v>0.09</v>
      </c>
      <c r="D18" s="31">
        <f>IF(AND($G$4&gt;=A18,$G$4&lt;=B18),$G$4*C18,0)</f>
        <v>0</v>
      </c>
    </row>
    <row r="19" spans="1:4" x14ac:dyDescent="0.2">
      <c r="A19" s="33">
        <f>B18+0.01</f>
        <v>1958.11</v>
      </c>
      <c r="B19" s="33"/>
      <c r="C19" s="30">
        <v>0.11</v>
      </c>
      <c r="D19" s="31">
        <f>IF($G$4&gt;=A19,$G$4*C19,0)</f>
        <v>0</v>
      </c>
    </row>
    <row r="20" spans="1:4" x14ac:dyDescent="0.2">
      <c r="D20" s="32">
        <f>SUM(D17:D19)</f>
        <v>58.4</v>
      </c>
    </row>
  </sheetData>
  <mergeCells count="4">
    <mergeCell ref="A2:B2"/>
    <mergeCell ref="A1:D1"/>
    <mergeCell ref="A15:D15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Custos - Empresa</vt:lpstr>
      <vt:lpstr>Auxiliar INSS + IR</vt:lpstr>
    </vt:vector>
  </TitlesOfParts>
  <Company>FGV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Eduardo</cp:lastModifiedBy>
  <dcterms:created xsi:type="dcterms:W3CDTF">2010-10-04T20:56:55Z</dcterms:created>
  <dcterms:modified xsi:type="dcterms:W3CDTF">2012-05-22T17:55:09Z</dcterms:modified>
</cp:coreProperties>
</file>